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118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2" i="1" l="1"/>
  <c r="G32" i="1" s="1"/>
  <c r="L31" i="1"/>
  <c r="G31" i="1" s="1"/>
  <c r="L27" i="1"/>
  <c r="G29" i="1" s="1"/>
  <c r="L26" i="1" l="1"/>
  <c r="G27" i="1" s="1"/>
  <c r="L25" i="1"/>
  <c r="G24" i="1" s="1"/>
  <c r="L15" i="1"/>
  <c r="L22" i="1" s="1"/>
  <c r="L17" i="1"/>
  <c r="G20" i="1" s="1"/>
  <c r="G48" i="1"/>
  <c r="L48" i="1"/>
  <c r="G46" i="1" s="1"/>
  <c r="L46" i="1"/>
  <c r="G43" i="1" s="1"/>
  <c r="L47" i="1"/>
  <c r="G45" i="1" s="1"/>
  <c r="L45" i="1"/>
  <c r="G42" i="1" s="1"/>
  <c r="L43" i="1"/>
  <c r="G40" i="1" s="1"/>
  <c r="L40" i="1"/>
  <c r="G38" i="1" s="1"/>
  <c r="L39" i="1"/>
  <c r="G37" i="1" s="1"/>
  <c r="L37" i="1"/>
  <c r="G35" i="1" s="1"/>
  <c r="L50" i="1"/>
  <c r="L24" i="1"/>
  <c r="G22" i="1" s="1"/>
  <c r="L23" i="1" l="1"/>
  <c r="L21" i="1"/>
  <c r="G18" i="1" l="1"/>
  <c r="L52" i="1"/>
  <c r="E12" i="1" s="1"/>
  <c r="Q3" i="1" s="1"/>
  <c r="G16" i="1"/>
  <c r="R3" i="1" l="1"/>
  <c r="E13" i="1" s="1"/>
</calcChain>
</file>

<file path=xl/sharedStrings.xml><?xml version="1.0" encoding="utf-8"?>
<sst xmlns="http://schemas.openxmlformats.org/spreadsheetml/2006/main" count="65" uniqueCount="63">
  <si>
    <t>NASA Super Touring Class Calculator</t>
  </si>
  <si>
    <t>Maximum Chassis Dyno (whp)</t>
  </si>
  <si>
    <t>Adjusted Weight/Power Ratio</t>
  </si>
  <si>
    <t>Super Touring 1 (ST1) limit</t>
  </si>
  <si>
    <t>Super Touring 2 (ST2) limit</t>
  </si>
  <si>
    <t>Boolean Column</t>
  </si>
  <si>
    <t>Calculation Column</t>
  </si>
  <si>
    <t>raw hp/weight</t>
  </si>
  <si>
    <t>horsepower</t>
  </si>
  <si>
    <t>wagon give-back</t>
  </si>
  <si>
    <t>vehicle specific corr factor</t>
  </si>
  <si>
    <t>Adjusted hp/weight</t>
  </si>
  <si>
    <t>transmission takeaway</t>
  </si>
  <si>
    <t>awd takeaway</t>
  </si>
  <si>
    <t>fwd credit</t>
  </si>
  <si>
    <t>Your Class is</t>
  </si>
  <si>
    <t>slicks takeaway</t>
  </si>
  <si>
    <t>medium tire giveback</t>
  </si>
  <si>
    <t>small tire giveback</t>
  </si>
  <si>
    <t>heavy weight correction lookup</t>
  </si>
  <si>
    <t>light weight correction looup</t>
  </si>
  <si>
    <t>Light Weight Table</t>
  </si>
  <si>
    <t>Heavy Weight Table</t>
  </si>
  <si>
    <t>EQUAL TO OR GREATER THAN</t>
  </si>
  <si>
    <t>Class Lookup Table</t>
  </si>
  <si>
    <t>SU</t>
  </si>
  <si>
    <t>Minimum Competition Weight with driver (lbs)</t>
  </si>
  <si>
    <t>Sequential/Paddleshift/semi-automatic trans   -0.2</t>
  </si>
  <si>
    <t>All-Wheel Drive   -0.5</t>
  </si>
  <si>
    <t>Front-Wheel Drive   +1.0</t>
  </si>
  <si>
    <t>Non-DOT Approved Compound/Construction tires   -0.75</t>
  </si>
  <si>
    <t>Non-DOT Tire Size 10.5" (267mm) to 9.6" (244mm)   +0.4</t>
  </si>
  <si>
    <t>Non-DOT Tire Size 9.5" (241mm) or smaller   +0.8</t>
  </si>
  <si>
    <t>DOT-approved Tire Width 250 to 275   +0.4</t>
  </si>
  <si>
    <t>DOT-approved Tire Width 245 or smaller   +0.8</t>
  </si>
  <si>
    <t>(enter number in pounds in the box above)</t>
  </si>
  <si>
    <t>Vehicle Specific Modification Factor--ST Rules Section 8</t>
  </si>
  <si>
    <t>(Only applies to a few vehicles--See the ST Rules.</t>
  </si>
  <si>
    <t>enter in the box as a decimal--examples:  -0.2 or +0.75)</t>
  </si>
  <si>
    <t>Dog Ring/Straight Cut Gears (non-synchromesh) and/or</t>
  </si>
  <si>
    <t>4 door sedan or 5 door wagon   +0.4</t>
  </si>
  <si>
    <t>(applies only to AWD cars--all others must use Dynojet)</t>
  </si>
  <si>
    <t>(enter chassis Dyno whp in the box above)</t>
  </si>
  <si>
    <t>Weight Factor</t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</si>
  <si>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1</t>
    </r>
  </si>
  <si>
    <t>weight</t>
  </si>
  <si>
    <r>
      <t xml:space="preserve">(If AWD </t>
    </r>
    <r>
      <rPr>
        <u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Mustang or Dyno Dynamics Dyno - check box below for 10% correction)</t>
    </r>
  </si>
  <si>
    <t>Modification of the OEM roof line/shape   -0.4</t>
  </si>
  <si>
    <t>Modification of the floor pan for exhaust clearance only</t>
  </si>
  <si>
    <t>and/or rocker panel for side exit exhaust only   -0.4</t>
  </si>
  <si>
    <t>roof shape takeaway</t>
  </si>
  <si>
    <t>exhaust clearance takeaway</t>
  </si>
  <si>
    <t>Corrected HP</t>
  </si>
  <si>
    <t>Raw Weight/HP</t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</si>
  <si>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</si>
  <si>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</si>
  <si>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Super Touring 3 (ST3) limit</t>
  </si>
  <si>
    <t>ST3 non-oem aero takeaway</t>
  </si>
  <si>
    <t>Rotary Engine (2 rotors or less, 1 turbo or less) +0.3</t>
  </si>
  <si>
    <t>rotary engine credit</t>
  </si>
  <si>
    <t>Naturally Aspirated Engine (1.9L or less) +0.3</t>
  </si>
  <si>
    <t>small engine credit</t>
  </si>
  <si>
    <r>
      <rPr>
        <b/>
        <sz val="11"/>
        <color theme="1"/>
        <rFont val="Calibri"/>
        <family val="2"/>
        <scheme val="minor"/>
      </rPr>
      <t>ST3 only</t>
    </r>
    <r>
      <rPr>
        <sz val="11"/>
        <color theme="1"/>
        <rFont val="Calibri"/>
        <family val="2"/>
        <scheme val="minor"/>
      </rPr>
      <t xml:space="preserve"> - Non OEM Aero -0.5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</si>
</sst>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2" fontId="1" fillId="3" borderId="0" xfId="0" applyNumberFormat="1" applyFont="1" applyFill="1" applyBorder="1"/>
    <xf numFmtId="0" fontId="0" fillId="4" borderId="0" xfId="0" applyFill="1" applyBorder="1"/>
    <xf numFmtId="0" fontId="0" fillId="3" borderId="0" xfId="0" applyFill="1"/>
    <xf numFmtId="0" fontId="0" fillId="5" borderId="0" xfId="0" applyFill="1" applyBorder="1"/>
    <xf numFmtId="0" fontId="1" fillId="5" borderId="0" xfId="0" applyFont="1" applyFill="1" applyBorder="1"/>
    <xf numFmtId="0" fontId="0" fillId="6" borderId="0" xfId="0" applyFill="1" applyBorder="1"/>
    <xf numFmtId="2" fontId="0" fillId="6" borderId="0" xfId="0" applyNumberFormat="1" applyFill="1" applyBorder="1"/>
    <xf numFmtId="0" fontId="0" fillId="7" borderId="0" xfId="0" applyFill="1" applyBorder="1"/>
    <xf numFmtId="2" fontId="0" fillId="7" borderId="0" xfId="0" applyNumberFormat="1" applyFill="1" applyBorder="1"/>
    <xf numFmtId="164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/>
    <xf numFmtId="0" fontId="0" fillId="3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5" borderId="0" xfId="0" applyNumberFormat="1" applyFill="1" applyBorder="1"/>
    <xf numFmtId="165" fontId="1" fillId="5" borderId="0" xfId="0" applyNumberFormat="1" applyFont="1" applyFill="1" applyBorder="1"/>
    <xf numFmtId="0" fontId="10" fillId="2" borderId="0" xfId="0" applyFont="1" applyFill="1" applyBorder="1" applyAlignment="1"/>
    <xf numFmtId="0" fontId="10" fillId="3" borderId="0" xfId="0" applyFont="1" applyFill="1" applyBorder="1" applyAlignment="1"/>
    <xf numFmtId="0" fontId="10" fillId="4" borderId="0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19" lockText="1" noThreeD="1"/>
</file>

<file path=xl/ctrlProps/ctrlProp10.xml><?xml version="1.0" encoding="utf-8"?>
<formControlPr xmlns="http://schemas.microsoft.com/office/spreadsheetml/2009/9/main" objectType="CheckBox" fmlaLink="$J$48" lockText="1" noThreeD="1"/>
</file>

<file path=xl/ctrlProps/ctrlProp11.xml><?xml version="1.0" encoding="utf-8"?>
<formControlPr xmlns="http://schemas.microsoft.com/office/spreadsheetml/2009/9/main" objectType="CheckBox" fmlaLink="$J$25" lockText="1" noThreeD="1"/>
</file>

<file path=xl/ctrlProps/ctrlProp12.xml><?xml version="1.0" encoding="utf-8"?>
<formControlPr xmlns="http://schemas.microsoft.com/office/spreadsheetml/2009/9/main" objectType="CheckBox" fmlaLink="$J$26" lockText="1" noThreeD="1"/>
</file>

<file path=xl/ctrlProps/ctrlProp13.xml><?xml version="1.0" encoding="utf-8"?>
<formControlPr xmlns="http://schemas.microsoft.com/office/spreadsheetml/2009/9/main" objectType="CheckBox" fmlaLink="$J$27" lockText="1" noThreeD="1"/>
</file>

<file path=xl/ctrlProps/ctrlProp14.xml><?xml version="1.0" encoding="utf-8"?>
<formControlPr xmlns="http://schemas.microsoft.com/office/spreadsheetml/2009/9/main" objectType="CheckBox" fmlaLink="$J$31" lockText="1" noThreeD="1"/>
</file>

<file path=xl/ctrlProps/ctrlProp15.xml><?xml version="1.0" encoding="utf-8"?>
<formControlPr xmlns="http://schemas.microsoft.com/office/spreadsheetml/2009/9/main" objectType="CheckBox" fmlaLink="$J$32" lockText="1" noThreeD="1"/>
</file>

<file path=xl/ctrlProps/ctrlProp2.xml><?xml version="1.0" encoding="utf-8"?>
<formControlPr xmlns="http://schemas.microsoft.com/office/spreadsheetml/2009/9/main" objectType="CheckBox" fmlaLink="$J$24" lockText="1" noThreeD="1"/>
</file>

<file path=xl/ctrlProps/ctrlProp3.xml><?xml version="1.0" encoding="utf-8"?>
<formControlPr xmlns="http://schemas.microsoft.com/office/spreadsheetml/2009/9/main" objectType="CheckBox" fmlaLink="$J$37" lockText="1" noThreeD="1"/>
</file>

<file path=xl/ctrlProps/ctrlProp4.xml><?xml version="1.0" encoding="utf-8"?>
<formControlPr xmlns="http://schemas.microsoft.com/office/spreadsheetml/2009/9/main" objectType="CheckBox" fmlaLink="$J$39" lockText="1" noThreeD="1"/>
</file>

<file path=xl/ctrlProps/ctrlProp5.xml><?xml version="1.0" encoding="utf-8"?>
<formControlPr xmlns="http://schemas.microsoft.com/office/spreadsheetml/2009/9/main" objectType="CheckBox" fmlaLink="$J$40" lockText="1" noThreeD="1"/>
</file>

<file path=xl/ctrlProps/ctrlProp6.xml><?xml version="1.0" encoding="utf-8"?>
<formControlPr xmlns="http://schemas.microsoft.com/office/spreadsheetml/2009/9/main" objectType="CheckBox" fmlaLink="$J$43" lockText="1" noThreeD="1"/>
</file>

<file path=xl/ctrlProps/ctrlProp7.xml><?xml version="1.0" encoding="utf-8"?>
<formControlPr xmlns="http://schemas.microsoft.com/office/spreadsheetml/2009/9/main" objectType="CheckBox" fmlaLink="$J$45" lockText="1" noThreeD="1"/>
</file>

<file path=xl/ctrlProps/ctrlProp8.xml><?xml version="1.0" encoding="utf-8"?>
<formControlPr xmlns="http://schemas.microsoft.com/office/spreadsheetml/2009/9/main" objectType="CheckBox" fmlaLink="$J$46" lockText="1" noThreeD="1"/>
</file>

<file path=xl/ctrlProps/ctrlProp9.xml><?xml version="1.0" encoding="utf-8"?>
<formControlPr xmlns="http://schemas.microsoft.com/office/spreadsheetml/2009/9/main" objectType="CheckBox" fmlaLink="$J$4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0</xdr:rowOff>
    </xdr:from>
    <xdr:to>
      <xdr:col>7</xdr:col>
      <xdr:colOff>114300</xdr:colOff>
      <xdr:row>4</xdr:row>
      <xdr:rowOff>161925</xdr:rowOff>
    </xdr:to>
    <xdr:pic>
      <xdr:nvPicPr>
        <xdr:cNvPr id="2" name="Picture 1" descr="nasa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85725"/>
          <a:ext cx="5200650" cy="733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19</xdr:row>
          <xdr:rowOff>9525</xdr:rowOff>
        </xdr:from>
        <xdr:to>
          <xdr:col>5</xdr:col>
          <xdr:colOff>9525</xdr:colOff>
          <xdr:row>20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171450</xdr:rowOff>
        </xdr:from>
        <xdr:to>
          <xdr:col>5</xdr:col>
          <xdr:colOff>9525</xdr:colOff>
          <xdr:row>22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76200</xdr:rowOff>
        </xdr:from>
        <xdr:to>
          <xdr:col>5</xdr:col>
          <xdr:colOff>9525</xdr:colOff>
          <xdr:row>34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35</xdr:row>
          <xdr:rowOff>171450</xdr:rowOff>
        </xdr:from>
        <xdr:to>
          <xdr:col>5</xdr:col>
          <xdr:colOff>9525</xdr:colOff>
          <xdr:row>37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36</xdr:row>
          <xdr:rowOff>171450</xdr:rowOff>
        </xdr:from>
        <xdr:to>
          <xdr:col>5</xdr:col>
          <xdr:colOff>9525</xdr:colOff>
          <xdr:row>38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161925</xdr:rowOff>
        </xdr:from>
        <xdr:to>
          <xdr:col>5</xdr:col>
          <xdr:colOff>9525</xdr:colOff>
          <xdr:row>40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171450</xdr:rowOff>
        </xdr:from>
        <xdr:to>
          <xdr:col>5</xdr:col>
          <xdr:colOff>9525</xdr:colOff>
          <xdr:row>42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41</xdr:row>
          <xdr:rowOff>180975</xdr:rowOff>
        </xdr:from>
        <xdr:to>
          <xdr:col>5</xdr:col>
          <xdr:colOff>9525</xdr:colOff>
          <xdr:row>43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43</xdr:row>
          <xdr:rowOff>161925</xdr:rowOff>
        </xdr:from>
        <xdr:to>
          <xdr:col>5</xdr:col>
          <xdr:colOff>9525</xdr:colOff>
          <xdr:row>45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44</xdr:row>
          <xdr:rowOff>180975</xdr:rowOff>
        </xdr:from>
        <xdr:to>
          <xdr:col>5</xdr:col>
          <xdr:colOff>9525</xdr:colOff>
          <xdr:row>46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161925</xdr:rowOff>
        </xdr:from>
        <xdr:to>
          <xdr:col>5</xdr:col>
          <xdr:colOff>9525</xdr:colOff>
          <xdr:row>24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104775</xdr:rowOff>
        </xdr:from>
        <xdr:to>
          <xdr:col>5</xdr:col>
          <xdr:colOff>9525</xdr:colOff>
          <xdr:row>26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</xdr:row>
          <xdr:rowOff>171450</xdr:rowOff>
        </xdr:from>
        <xdr:to>
          <xdr:col>5</xdr:col>
          <xdr:colOff>9525</xdr:colOff>
          <xdr:row>29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161925</xdr:rowOff>
        </xdr:from>
        <xdr:to>
          <xdr:col>5</xdr:col>
          <xdr:colOff>9525</xdr:colOff>
          <xdr:row>31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171450</xdr:rowOff>
        </xdr:from>
        <xdr:to>
          <xdr:col>5</xdr:col>
          <xdr:colOff>9525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abSelected="1" zoomScaleNormal="100" workbookViewId="0">
      <pane ySplit="13" topLeftCell="A14" activePane="bottomLeft" state="frozen"/>
      <selection pane="bottomLeft"/>
    </sheetView>
  </sheetViews>
  <sheetFormatPr defaultRowHeight="15" x14ac:dyDescent="0.25"/>
  <cols>
    <col min="1" max="1" width="1.28515625" style="2" customWidth="1"/>
    <col min="2" max="3" width="9.140625" style="2"/>
    <col min="4" max="4" width="34.5703125" style="2" customWidth="1"/>
    <col min="5" max="5" width="11.42578125" style="2" customWidth="1"/>
    <col min="6" max="6" width="9.140625" style="2"/>
    <col min="7" max="7" width="9.140625" style="19"/>
    <col min="8" max="9" width="9.140625" style="2" customWidth="1"/>
    <col min="10" max="10" width="9.140625" style="1" hidden="1" customWidth="1"/>
    <col min="11" max="11" width="9.140625" style="2" hidden="1" customWidth="1"/>
    <col min="12" max="12" width="9.140625" style="4" hidden="1" customWidth="1"/>
    <col min="13" max="13" width="9.140625" style="5" hidden="1" customWidth="1"/>
    <col min="14" max="26" width="9.140625" style="2" hidden="1" customWidth="1"/>
    <col min="27" max="16384" width="9.140625" style="2"/>
  </cols>
  <sheetData>
    <row r="1" spans="1:18" ht="6.75" customHeight="1" x14ac:dyDescent="0.25"/>
    <row r="2" spans="1:18" x14ac:dyDescent="0.25">
      <c r="J2" s="1" t="s">
        <v>5</v>
      </c>
      <c r="L2" s="4" t="s">
        <v>6</v>
      </c>
      <c r="Q2" s="6" t="s">
        <v>24</v>
      </c>
      <c r="R2" s="6"/>
    </row>
    <row r="3" spans="1:18" x14ac:dyDescent="0.25">
      <c r="Q3" s="23">
        <f>ROUND(E12,3)</f>
        <v>9.1430000000000007</v>
      </c>
      <c r="R3" s="7" t="str">
        <f>VLOOKUP(Q3,Q4:R7,2)</f>
        <v>ST3</v>
      </c>
    </row>
    <row r="4" spans="1:18" x14ac:dyDescent="0.25">
      <c r="Q4" s="22">
        <v>1E-10</v>
      </c>
      <c r="R4" s="6" t="s">
        <v>25</v>
      </c>
    </row>
    <row r="5" spans="1:18" x14ac:dyDescent="0.25">
      <c r="Q5" s="22">
        <v>5.4950000000000001</v>
      </c>
      <c r="R5" s="6" t="s">
        <v>44</v>
      </c>
    </row>
    <row r="6" spans="1:18" s="28" customFormat="1" ht="26.25" x14ac:dyDescent="0.4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24"/>
      <c r="K6" s="25"/>
      <c r="L6" s="26"/>
      <c r="M6" s="27"/>
      <c r="Q6" s="22">
        <v>7.9950000000000001</v>
      </c>
      <c r="R6" s="6" t="s">
        <v>54</v>
      </c>
    </row>
    <row r="7" spans="1:18" ht="6.75" customHeight="1" x14ac:dyDescent="0.25">
      <c r="Q7" s="22">
        <v>8.9949999999999992</v>
      </c>
      <c r="R7" s="6" t="s">
        <v>55</v>
      </c>
    </row>
    <row r="8" spans="1:18" x14ac:dyDescent="0.25">
      <c r="B8" s="29" t="s">
        <v>3</v>
      </c>
      <c r="C8" s="29"/>
      <c r="D8" s="29"/>
      <c r="E8" s="3">
        <v>5.5</v>
      </c>
    </row>
    <row r="9" spans="1:18" x14ac:dyDescent="0.25">
      <c r="B9" s="29" t="s">
        <v>4</v>
      </c>
      <c r="C9" s="29"/>
      <c r="D9" s="29"/>
      <c r="E9" s="3">
        <v>8</v>
      </c>
    </row>
    <row r="10" spans="1:18" x14ac:dyDescent="0.25">
      <c r="B10" s="29" t="s">
        <v>56</v>
      </c>
      <c r="C10" s="29"/>
      <c r="D10" s="29"/>
      <c r="E10" s="3">
        <v>9</v>
      </c>
    </row>
    <row r="11" spans="1:18" x14ac:dyDescent="0.25">
      <c r="B11" s="18"/>
      <c r="C11" s="18"/>
      <c r="D11" s="18"/>
      <c r="E11" s="3"/>
    </row>
    <row r="12" spans="1:18" ht="18.75" x14ac:dyDescent="0.3">
      <c r="B12" s="16" t="s">
        <v>2</v>
      </c>
      <c r="E12" s="12">
        <f>L52</f>
        <v>9.1428571428571423</v>
      </c>
    </row>
    <row r="13" spans="1:18" ht="18.75" x14ac:dyDescent="0.3">
      <c r="B13" s="16" t="s">
        <v>15</v>
      </c>
      <c r="E13" s="12" t="str">
        <f>R3</f>
        <v>ST3</v>
      </c>
    </row>
    <row r="14" spans="1:18" ht="19.5" thickBot="1" x14ac:dyDescent="0.35">
      <c r="B14" s="16"/>
      <c r="E14" s="12"/>
      <c r="G14" s="2"/>
    </row>
    <row r="15" spans="1:18" ht="16.5" thickBot="1" x14ac:dyDescent="0.3">
      <c r="B15" s="14" t="s">
        <v>26</v>
      </c>
      <c r="E15" s="17">
        <v>3200</v>
      </c>
      <c r="G15" s="19" t="s">
        <v>43</v>
      </c>
      <c r="L15" s="4">
        <f>ROUNDUP(E15,0)</f>
        <v>3200</v>
      </c>
      <c r="M15" s="5" t="s">
        <v>45</v>
      </c>
    </row>
    <row r="16" spans="1:18" ht="15.75" thickBot="1" x14ac:dyDescent="0.3">
      <c r="C16" s="15" t="s">
        <v>35</v>
      </c>
      <c r="G16" s="20">
        <f>IF(L22&lt;0,L22,L23)</f>
        <v>0</v>
      </c>
    </row>
    <row r="17" spans="2:21" ht="16.5" thickBot="1" x14ac:dyDescent="0.3">
      <c r="B17" s="14" t="s">
        <v>1</v>
      </c>
      <c r="E17" s="17">
        <v>350</v>
      </c>
      <c r="G17" s="19" t="s">
        <v>53</v>
      </c>
      <c r="L17" s="4">
        <f>ROUND(IF(J19=TRUE,(E17*1.1),E17),0)</f>
        <v>350</v>
      </c>
      <c r="M17" s="5" t="s">
        <v>8</v>
      </c>
    </row>
    <row r="18" spans="2:21" x14ac:dyDescent="0.25">
      <c r="C18" s="15" t="s">
        <v>42</v>
      </c>
      <c r="G18" s="20">
        <f>L21</f>
        <v>9.1428571428571423</v>
      </c>
    </row>
    <row r="19" spans="2:21" x14ac:dyDescent="0.25">
      <c r="B19" s="13" t="s">
        <v>46</v>
      </c>
      <c r="G19" s="19" t="s">
        <v>52</v>
      </c>
      <c r="J19" s="1" t="b">
        <v>0</v>
      </c>
      <c r="Q19" s="8"/>
      <c r="R19" s="8"/>
      <c r="T19" s="10"/>
      <c r="U19" s="10"/>
    </row>
    <row r="20" spans="2:21" x14ac:dyDescent="0.25">
      <c r="C20" s="15" t="s">
        <v>41</v>
      </c>
      <c r="G20" s="19">
        <f>L17</f>
        <v>350</v>
      </c>
      <c r="Q20" s="8" t="s">
        <v>21</v>
      </c>
      <c r="R20" s="8"/>
      <c r="T20" s="10" t="s">
        <v>22</v>
      </c>
      <c r="U20" s="10"/>
    </row>
    <row r="21" spans="2:21" x14ac:dyDescent="0.25">
      <c r="L21" s="4">
        <f>L15/L17</f>
        <v>9.1428571428571423</v>
      </c>
      <c r="M21" s="5" t="s">
        <v>7</v>
      </c>
      <c r="Q21" s="8"/>
      <c r="R21" s="8"/>
      <c r="T21" s="10" t="s">
        <v>23</v>
      </c>
      <c r="U21" s="10"/>
    </row>
    <row r="22" spans="2:21" x14ac:dyDescent="0.25">
      <c r="B22" s="2" t="s">
        <v>40</v>
      </c>
      <c r="G22" s="21">
        <f>L24</f>
        <v>0</v>
      </c>
      <c r="L22" s="4">
        <f>IF(L15&lt;=3150,VLOOKUP(L15,Q22:R40,2),0)</f>
        <v>0</v>
      </c>
      <c r="M22" s="5" t="s">
        <v>20</v>
      </c>
      <c r="Q22" s="8">
        <v>1</v>
      </c>
      <c r="R22" s="9">
        <v>-0.9</v>
      </c>
      <c r="T22" s="10">
        <v>3300</v>
      </c>
      <c r="U22" s="11">
        <v>0.05</v>
      </c>
    </row>
    <row r="23" spans="2:21" x14ac:dyDescent="0.25">
      <c r="G23" s="21"/>
      <c r="L23" s="4">
        <f>IF(L15&gt;=3300,VLOOKUP(L15,T22:U39,2),0)</f>
        <v>0</v>
      </c>
      <c r="M23" s="5" t="s">
        <v>19</v>
      </c>
      <c r="Q23" s="8">
        <v>1451</v>
      </c>
      <c r="R23" s="9">
        <v>-0.85</v>
      </c>
      <c r="T23" s="10">
        <v>3350</v>
      </c>
      <c r="U23" s="11">
        <v>0.1</v>
      </c>
    </row>
    <row r="24" spans="2:21" x14ac:dyDescent="0.25">
      <c r="B24" s="2" t="s">
        <v>47</v>
      </c>
      <c r="G24" s="21">
        <f>L25</f>
        <v>0</v>
      </c>
      <c r="J24" s="1" t="b">
        <v>0</v>
      </c>
      <c r="L24" s="4">
        <f>IF(J24=TRUE,0.4,0)</f>
        <v>0</v>
      </c>
      <c r="M24" s="5" t="s">
        <v>9</v>
      </c>
      <c r="Q24" s="8">
        <v>1551</v>
      </c>
      <c r="R24" s="9">
        <v>-0.8</v>
      </c>
      <c r="T24" s="10">
        <v>3400</v>
      </c>
      <c r="U24" s="11">
        <v>0.15</v>
      </c>
    </row>
    <row r="25" spans="2:21" x14ac:dyDescent="0.25">
      <c r="G25" s="21"/>
      <c r="J25" s="1" t="b">
        <v>0</v>
      </c>
      <c r="L25" s="4">
        <f>IF(J25=TRUE,-0.4,0)</f>
        <v>0</v>
      </c>
      <c r="M25" s="5" t="s">
        <v>50</v>
      </c>
      <c r="Q25" s="8">
        <v>1651</v>
      </c>
      <c r="R25" s="9">
        <v>-0.75</v>
      </c>
      <c r="T25" s="10">
        <v>3450</v>
      </c>
      <c r="U25" s="11">
        <v>0.2</v>
      </c>
    </row>
    <row r="26" spans="2:21" x14ac:dyDescent="0.25">
      <c r="B26" s="2" t="s">
        <v>48</v>
      </c>
      <c r="G26" s="21"/>
      <c r="J26" s="1" t="b">
        <v>0</v>
      </c>
      <c r="L26" s="4">
        <f>IF(J26=TRUE,-0.4,0)</f>
        <v>0</v>
      </c>
      <c r="M26" s="5" t="s">
        <v>51</v>
      </c>
      <c r="Q26" s="8">
        <v>1751</v>
      </c>
      <c r="R26" s="9">
        <v>-0.7</v>
      </c>
      <c r="T26" s="10">
        <v>3500</v>
      </c>
      <c r="U26" s="11">
        <v>0.3</v>
      </c>
    </row>
    <row r="27" spans="2:21" x14ac:dyDescent="0.25">
      <c r="B27" s="2" t="s">
        <v>49</v>
      </c>
      <c r="G27" s="21">
        <f>L26</f>
        <v>0</v>
      </c>
      <c r="J27" s="1" t="b">
        <v>0</v>
      </c>
      <c r="L27" s="4">
        <f>IF(J27=TRUE,-0.5,0)</f>
        <v>0</v>
      </c>
      <c r="M27" s="5" t="s">
        <v>57</v>
      </c>
      <c r="Q27" s="8">
        <v>1851</v>
      </c>
      <c r="R27" s="9">
        <v>-0.65</v>
      </c>
      <c r="T27" s="10">
        <v>3550</v>
      </c>
      <c r="U27" s="11">
        <v>0.35</v>
      </c>
    </row>
    <row r="28" spans="2:21" x14ac:dyDescent="0.25">
      <c r="G28" s="21"/>
      <c r="Q28" s="8">
        <v>1951</v>
      </c>
      <c r="R28" s="9">
        <v>-0.6</v>
      </c>
      <c r="T28" s="10">
        <v>3600</v>
      </c>
      <c r="U28" s="11">
        <v>0.4</v>
      </c>
    </row>
    <row r="29" spans="2:21" x14ac:dyDescent="0.25">
      <c r="B29" s="2" t="s">
        <v>62</v>
      </c>
      <c r="G29" s="21">
        <f>L27</f>
        <v>0</v>
      </c>
      <c r="Q29" s="8">
        <v>2051</v>
      </c>
      <c r="R29" s="9">
        <v>-0.55000000000000004</v>
      </c>
      <c r="T29" s="10">
        <v>3650</v>
      </c>
      <c r="U29" s="11">
        <v>0.45</v>
      </c>
    </row>
    <row r="30" spans="2:21" x14ac:dyDescent="0.25">
      <c r="G30" s="21"/>
      <c r="M30" s="2"/>
      <c r="Q30" s="8">
        <v>2151</v>
      </c>
      <c r="R30" s="9">
        <v>-0.5</v>
      </c>
      <c r="T30" s="10">
        <v>3700</v>
      </c>
      <c r="U30" s="11">
        <v>0.55000000000000004</v>
      </c>
    </row>
    <row r="31" spans="2:21" x14ac:dyDescent="0.25">
      <c r="B31" s="2" t="s">
        <v>58</v>
      </c>
      <c r="G31" s="21">
        <f>L31</f>
        <v>0</v>
      </c>
      <c r="J31" s="1" t="b">
        <v>0</v>
      </c>
      <c r="L31" s="4">
        <f>IF(J31=TRUE,0.3,0)</f>
        <v>0</v>
      </c>
      <c r="M31" s="2" t="s">
        <v>59</v>
      </c>
      <c r="Q31" s="8">
        <v>2251</v>
      </c>
      <c r="R31" s="9">
        <v>-0.45</v>
      </c>
      <c r="T31" s="10">
        <v>3750</v>
      </c>
      <c r="U31" s="11">
        <v>0.6</v>
      </c>
    </row>
    <row r="32" spans="2:21" x14ac:dyDescent="0.25">
      <c r="B32" s="2" t="s">
        <v>60</v>
      </c>
      <c r="G32" s="21">
        <f>L32</f>
        <v>0</v>
      </c>
      <c r="J32" s="1" t="b">
        <v>0</v>
      </c>
      <c r="L32" s="4">
        <f>IF(J32=TRUE,0.3,0)</f>
        <v>0</v>
      </c>
      <c r="M32" s="2" t="s">
        <v>61</v>
      </c>
      <c r="Q32" s="8">
        <v>2351</v>
      </c>
      <c r="R32" s="9">
        <v>-0.4</v>
      </c>
      <c r="T32" s="10">
        <v>3800</v>
      </c>
      <c r="U32" s="11">
        <v>0.65</v>
      </c>
    </row>
    <row r="33" spans="2:21" x14ac:dyDescent="0.25">
      <c r="G33" s="21"/>
      <c r="M33" s="2"/>
      <c r="Q33" s="8">
        <v>2451</v>
      </c>
      <c r="R33" s="9">
        <v>-0.35</v>
      </c>
      <c r="T33" s="10">
        <v>3850</v>
      </c>
      <c r="U33" s="11">
        <v>0.7</v>
      </c>
    </row>
    <row r="34" spans="2:21" x14ac:dyDescent="0.25">
      <c r="B34" s="2" t="s">
        <v>39</v>
      </c>
      <c r="G34" s="21"/>
      <c r="M34" s="2"/>
      <c r="Q34" s="8">
        <v>2551</v>
      </c>
      <c r="R34" s="9">
        <v>-0.3</v>
      </c>
      <c r="T34" s="10">
        <v>3900</v>
      </c>
      <c r="U34" s="11">
        <v>0.75</v>
      </c>
    </row>
    <row r="35" spans="2:21" x14ac:dyDescent="0.25">
      <c r="B35" s="2" t="s">
        <v>27</v>
      </c>
      <c r="G35" s="21">
        <f>L37</f>
        <v>0</v>
      </c>
      <c r="Q35" s="8">
        <v>2651</v>
      </c>
      <c r="R35" s="9">
        <v>-0.25</v>
      </c>
      <c r="T35" s="10">
        <v>3950</v>
      </c>
      <c r="U35" s="11">
        <v>0.8</v>
      </c>
    </row>
    <row r="36" spans="2:21" x14ac:dyDescent="0.25">
      <c r="G36" s="21"/>
      <c r="Q36" s="8">
        <v>2751</v>
      </c>
      <c r="R36" s="9">
        <v>-0.2</v>
      </c>
      <c r="T36" s="10">
        <v>4000</v>
      </c>
      <c r="U36" s="11">
        <v>0.85</v>
      </c>
    </row>
    <row r="37" spans="2:21" x14ac:dyDescent="0.25">
      <c r="B37" s="2" t="s">
        <v>28</v>
      </c>
      <c r="G37" s="21">
        <f>L39</f>
        <v>0</v>
      </c>
      <c r="J37" s="1" t="b">
        <v>0</v>
      </c>
      <c r="L37" s="4">
        <f>IF(J37=TRUE,-0.2,0)</f>
        <v>0</v>
      </c>
      <c r="M37" s="5" t="s">
        <v>12</v>
      </c>
      <c r="Q37" s="8">
        <v>2851</v>
      </c>
      <c r="R37" s="9">
        <v>-0.15</v>
      </c>
      <c r="T37" s="10">
        <v>4050</v>
      </c>
      <c r="U37" s="11">
        <v>0.9</v>
      </c>
    </row>
    <row r="38" spans="2:21" x14ac:dyDescent="0.25">
      <c r="B38" s="2" t="s">
        <v>29</v>
      </c>
      <c r="G38" s="21">
        <f>L40</f>
        <v>0</v>
      </c>
      <c r="Q38" s="8">
        <v>2951</v>
      </c>
      <c r="R38" s="9">
        <v>-0.1</v>
      </c>
      <c r="T38" s="10">
        <v>4100</v>
      </c>
      <c r="U38" s="11">
        <v>0.95</v>
      </c>
    </row>
    <row r="39" spans="2:21" x14ac:dyDescent="0.25">
      <c r="G39" s="21"/>
      <c r="J39" s="1" t="b">
        <v>0</v>
      </c>
      <c r="L39" s="4">
        <f>IF(J39=TRUE,-0.5,0)</f>
        <v>0</v>
      </c>
      <c r="M39" s="5" t="s">
        <v>13</v>
      </c>
      <c r="Q39" s="8">
        <v>3051</v>
      </c>
      <c r="R39" s="9">
        <v>-0.05</v>
      </c>
      <c r="T39" s="10">
        <v>4150</v>
      </c>
      <c r="U39" s="11">
        <v>1</v>
      </c>
    </row>
    <row r="40" spans="2:21" x14ac:dyDescent="0.25">
      <c r="B40" s="2" t="s">
        <v>30</v>
      </c>
      <c r="G40" s="21">
        <f>L43</f>
        <v>0</v>
      </c>
      <c r="J40" s="1" t="b">
        <v>0</v>
      </c>
      <c r="L40" s="4">
        <f>IF(J40=TRUE,1,0)</f>
        <v>0</v>
      </c>
      <c r="M40" s="5" t="s">
        <v>14</v>
      </c>
      <c r="Q40" s="8">
        <v>3200</v>
      </c>
      <c r="R40" s="8">
        <v>0</v>
      </c>
    </row>
    <row r="41" spans="2:21" x14ac:dyDescent="0.25">
      <c r="G41" s="21"/>
    </row>
    <row r="42" spans="2:21" x14ac:dyDescent="0.25">
      <c r="B42" s="2" t="s">
        <v>31</v>
      </c>
      <c r="G42" s="21">
        <f>L45</f>
        <v>0</v>
      </c>
    </row>
    <row r="43" spans="2:21" x14ac:dyDescent="0.25">
      <c r="B43" s="2" t="s">
        <v>32</v>
      </c>
      <c r="G43" s="21">
        <f>L46</f>
        <v>0</v>
      </c>
      <c r="J43" s="1" t="b">
        <v>0</v>
      </c>
      <c r="L43" s="4">
        <f>IF(J43=TRUE,-0.75,0)</f>
        <v>0</v>
      </c>
      <c r="M43" s="5" t="s">
        <v>16</v>
      </c>
    </row>
    <row r="44" spans="2:21" x14ac:dyDescent="0.25">
      <c r="G44" s="21"/>
    </row>
    <row r="45" spans="2:21" x14ac:dyDescent="0.25">
      <c r="B45" s="2" t="s">
        <v>33</v>
      </c>
      <c r="G45" s="21">
        <f>L47</f>
        <v>0</v>
      </c>
      <c r="J45" s="1" t="b">
        <v>0</v>
      </c>
      <c r="L45" s="4">
        <f>IF(J45=TRUE,0.4,0)</f>
        <v>0</v>
      </c>
      <c r="M45" s="5" t="s">
        <v>17</v>
      </c>
    </row>
    <row r="46" spans="2:21" x14ac:dyDescent="0.25">
      <c r="B46" s="2" t="s">
        <v>34</v>
      </c>
      <c r="G46" s="21">
        <f>L48</f>
        <v>0</v>
      </c>
      <c r="J46" s="1" t="b">
        <v>0</v>
      </c>
      <c r="L46" s="4">
        <f>IF(J46=TRUE,0.8,0)</f>
        <v>0</v>
      </c>
      <c r="M46" s="5" t="s">
        <v>18</v>
      </c>
    </row>
    <row r="47" spans="2:21" ht="15.75" thickBot="1" x14ac:dyDescent="0.3">
      <c r="G47" s="21"/>
      <c r="J47" s="1" t="b">
        <v>0</v>
      </c>
      <c r="L47" s="4">
        <f>IF(J47=TRUE,0.4,0)</f>
        <v>0</v>
      </c>
      <c r="M47" s="5" t="s">
        <v>17</v>
      </c>
    </row>
    <row r="48" spans="2:21" ht="15.75" thickBot="1" x14ac:dyDescent="0.3">
      <c r="B48" s="2" t="s">
        <v>36</v>
      </c>
      <c r="E48" s="17">
        <v>0</v>
      </c>
      <c r="G48" s="21">
        <f>E48</f>
        <v>0</v>
      </c>
      <c r="J48" s="1" t="b">
        <v>0</v>
      </c>
      <c r="L48" s="4">
        <f>IF(J48=TRUE,0.8,0)</f>
        <v>0</v>
      </c>
      <c r="M48" s="5" t="s">
        <v>18</v>
      </c>
    </row>
    <row r="49" spans="2:13" x14ac:dyDescent="0.25">
      <c r="B49" s="15" t="s">
        <v>37</v>
      </c>
    </row>
    <row r="50" spans="2:13" x14ac:dyDescent="0.25">
      <c r="B50" s="15" t="s">
        <v>38</v>
      </c>
      <c r="L50" s="4">
        <f>E48</f>
        <v>0</v>
      </c>
      <c r="M50" s="5" t="s">
        <v>10</v>
      </c>
    </row>
    <row r="52" spans="2:13" x14ac:dyDescent="0.25">
      <c r="L52" s="4">
        <f>L21+SUM(L22:L50)</f>
        <v>9.1428571428571423</v>
      </c>
      <c r="M52" s="5" t="s">
        <v>11</v>
      </c>
    </row>
    <row r="54" spans="2:13" ht="12.75" customHeight="1" x14ac:dyDescent="0.25"/>
  </sheetData>
  <mergeCells count="4">
    <mergeCell ref="B9:D9"/>
    <mergeCell ref="B8:D8"/>
    <mergeCell ref="A6:I6"/>
    <mergeCell ref="B10:D10"/>
  </mergeCells>
  <pageMargins left="0.7" right="0.7" top="0.75" bottom="0.75" header="0.3" footer="0.3"/>
  <pageSetup orientation="portrait" r:id="rId1"/>
  <ignoredErrors>
    <ignoredError sqref="L4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19</xdr:row>
                    <xdr:rowOff>9525</xdr:rowOff>
                  </from>
                  <to>
                    <xdr:col>5</xdr:col>
                    <xdr:colOff>9525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171450</xdr:rowOff>
                  </from>
                  <to>
                    <xdr:col>5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76200</xdr:rowOff>
                  </from>
                  <to>
                    <xdr:col>5</xdr:col>
                    <xdr:colOff>9525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219075</xdr:colOff>
                    <xdr:row>35</xdr:row>
                    <xdr:rowOff>171450</xdr:rowOff>
                  </from>
                  <to>
                    <xdr:col>5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36</xdr:row>
                    <xdr:rowOff>171450</xdr:rowOff>
                  </from>
                  <to>
                    <xdr:col>5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161925</xdr:rowOff>
                  </from>
                  <to>
                    <xdr:col>5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171450</xdr:rowOff>
                  </from>
                  <to>
                    <xdr:col>5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41</xdr:row>
                    <xdr:rowOff>180975</xdr:rowOff>
                  </from>
                  <to>
                    <xdr:col>5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219075</xdr:colOff>
                    <xdr:row>43</xdr:row>
                    <xdr:rowOff>161925</xdr:rowOff>
                  </from>
                  <to>
                    <xdr:col>5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219075</xdr:colOff>
                    <xdr:row>44</xdr:row>
                    <xdr:rowOff>180975</xdr:rowOff>
                  </from>
                  <to>
                    <xdr:col>5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161925</xdr:rowOff>
                  </from>
                  <to>
                    <xdr:col>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104775</xdr:rowOff>
                  </from>
                  <to>
                    <xdr:col>5</xdr:col>
                    <xdr:colOff>9525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219075</xdr:colOff>
                    <xdr:row>27</xdr:row>
                    <xdr:rowOff>171450</xdr:rowOff>
                  </from>
                  <to>
                    <xdr:col>5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161925</xdr:rowOff>
                  </from>
                  <to>
                    <xdr:col>5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171450</xdr:rowOff>
                  </from>
                  <to>
                    <xdr:col>5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Kinder Morgan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brewken1</dc:creator>
  <cp:lastModifiedBy>Ken Brewer</cp:lastModifiedBy>
  <dcterms:created xsi:type="dcterms:W3CDTF">2012-02-16T16:25:26Z</dcterms:created>
  <dcterms:modified xsi:type="dcterms:W3CDTF">2012-12-10T21:47:56Z</dcterms:modified>
</cp:coreProperties>
</file>